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5984C84-E57C-4157-9F03-8D54DC12210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Отчет 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" l="1"/>
  <c r="C58" i="1"/>
  <c r="C52" i="1"/>
  <c r="H34" i="1"/>
  <c r="G34" i="1"/>
  <c r="D34" i="1"/>
  <c r="H101" i="1"/>
  <c r="D101" i="1" s="1"/>
  <c r="D99" i="1" s="1"/>
  <c r="G95" i="1"/>
  <c r="D95" i="1" s="1"/>
  <c r="G92" i="1"/>
  <c r="D92" i="1" s="1"/>
  <c r="D90" i="1" s="1"/>
  <c r="H87" i="1"/>
  <c r="G87" i="1"/>
  <c r="H84" i="1"/>
  <c r="G84" i="1"/>
  <c r="H78" i="1"/>
  <c r="G78" i="1"/>
  <c r="H75" i="1"/>
  <c r="G75" i="1"/>
  <c r="H72" i="1"/>
  <c r="G72" i="1"/>
  <c r="H69" i="1"/>
  <c r="G69" i="1"/>
  <c r="G66" i="1"/>
  <c r="H63" i="1"/>
  <c r="G63" i="1"/>
  <c r="H60" i="1"/>
  <c r="G60" i="1"/>
  <c r="G57" i="1"/>
  <c r="H54" i="1"/>
  <c r="G54" i="1"/>
  <c r="C99" i="1"/>
  <c r="C96" i="1"/>
  <c r="C93" i="1"/>
  <c r="C90" i="1"/>
  <c r="C85" i="1"/>
  <c r="C82" i="1"/>
  <c r="C79" i="1"/>
  <c r="C76" i="1"/>
  <c r="C73" i="1"/>
  <c r="C70" i="1"/>
  <c r="C67" i="1"/>
  <c r="C64" i="1"/>
  <c r="C55" i="1"/>
  <c r="D96" i="1"/>
  <c r="D55" i="1"/>
  <c r="D32" i="1"/>
  <c r="D78" i="1"/>
  <c r="D76" i="1" s="1"/>
  <c r="D57" i="1"/>
  <c r="D33" i="1"/>
  <c r="H100" i="1"/>
  <c r="D100" i="1" s="1"/>
  <c r="G94" i="1"/>
  <c r="D94" i="1" s="1"/>
  <c r="G91" i="1"/>
  <c r="D91" i="1" s="1"/>
  <c r="H86" i="1"/>
  <c r="G86" i="1"/>
  <c r="H83" i="1"/>
  <c r="G83" i="1"/>
  <c r="H77" i="1"/>
  <c r="G77" i="1"/>
  <c r="D77" i="1" s="1"/>
  <c r="H74" i="1"/>
  <c r="G74" i="1"/>
  <c r="H71" i="1"/>
  <c r="G71" i="1"/>
  <c r="H68" i="1"/>
  <c r="G68" i="1"/>
  <c r="D68" i="1" s="1"/>
  <c r="H62" i="1"/>
  <c r="G62" i="1"/>
  <c r="D62" i="1" s="1"/>
  <c r="H59" i="1"/>
  <c r="G59" i="1"/>
  <c r="G56" i="1"/>
  <c r="H53" i="1"/>
  <c r="G53" i="1"/>
  <c r="D98" i="1"/>
  <c r="D97" i="1"/>
  <c r="D81" i="1"/>
  <c r="D80" i="1"/>
  <c r="D74" i="1"/>
  <c r="D66" i="1"/>
  <c r="D65" i="1"/>
  <c r="D64" i="1" s="1"/>
  <c r="D56" i="1"/>
  <c r="C7" i="1"/>
  <c r="D50" i="1"/>
  <c r="D93" i="1" l="1"/>
  <c r="D72" i="1"/>
  <c r="D75" i="1"/>
  <c r="D73" i="1" s="1"/>
  <c r="D53" i="1"/>
  <c r="D87" i="1"/>
  <c r="D85" i="1" s="1"/>
  <c r="D84" i="1"/>
  <c r="D82" i="1" s="1"/>
  <c r="D69" i="1"/>
  <c r="D67" i="1" s="1"/>
  <c r="D63" i="1"/>
  <c r="D61" i="1" s="1"/>
  <c r="D60" i="1"/>
  <c r="D58" i="1" s="1"/>
  <c r="D54" i="1"/>
  <c r="D52" i="1" s="1"/>
  <c r="D71" i="1"/>
  <c r="D59" i="1"/>
  <c r="D83" i="1"/>
  <c r="D86" i="1"/>
  <c r="C18" i="1"/>
  <c r="E3" i="1"/>
  <c r="D70" i="1" l="1"/>
  <c r="C15" i="1"/>
  <c r="D26" i="1"/>
  <c r="C16" i="1"/>
  <c r="D103" i="1" l="1"/>
  <c r="C17" i="1" s="1"/>
  <c r="G15" i="1" s="1"/>
  <c r="H104" i="1" l="1"/>
  <c r="H108" i="1" s="1"/>
  <c r="E99" i="1"/>
  <c r="E93" i="1"/>
  <c r="E90" i="1"/>
  <c r="E85" i="1"/>
  <c r="D109" i="1"/>
  <c r="D108" i="1"/>
  <c r="C102" i="1"/>
  <c r="E96" i="1"/>
  <c r="D88" i="1"/>
  <c r="E88" i="1" l="1"/>
  <c r="G104" i="1"/>
  <c r="G108" i="1" s="1"/>
  <c r="E55" i="1"/>
  <c r="E82" i="1"/>
  <c r="E73" i="1"/>
  <c r="E58" i="1"/>
  <c r="E52" i="1" l="1"/>
  <c r="E70" i="1"/>
  <c r="E67" i="1"/>
  <c r="D79" i="1"/>
  <c r="E61" i="1"/>
  <c r="E64" i="1"/>
  <c r="E76" i="1"/>
  <c r="E32" i="1"/>
  <c r="E79" i="1" l="1"/>
  <c r="D107" i="1"/>
  <c r="D110" i="1" s="1"/>
  <c r="D102" i="1"/>
  <c r="D106" i="1" s="1"/>
  <c r="E102" i="1"/>
</calcChain>
</file>

<file path=xl/sharedStrings.xml><?xml version="1.0" encoding="utf-8"?>
<sst xmlns="http://schemas.openxmlformats.org/spreadsheetml/2006/main" count="202" uniqueCount="96">
  <si>
    <t>руб.</t>
  </si>
  <si>
    <t>в том числе просроченная:</t>
  </si>
  <si>
    <t>Статья затрат</t>
  </si>
  <si>
    <t>Вид товара/услуги</t>
  </si>
  <si>
    <t>По смете (руб)</t>
  </si>
  <si>
    <t>Расход факт (руб)</t>
  </si>
  <si>
    <t>Отопление</t>
  </si>
  <si>
    <t>-</t>
  </si>
  <si>
    <t>Электроэнергия</t>
  </si>
  <si>
    <t>ГУП "Водоканал"</t>
  </si>
  <si>
    <t>Водоснабжение, водоотведение</t>
  </si>
  <si>
    <t>Вывоз мусора</t>
  </si>
  <si>
    <t>РАСХОДЫ ПО СМЕТЕ</t>
  </si>
  <si>
    <t>Содержание общего имущества</t>
  </si>
  <si>
    <t>услуги охраны</t>
  </si>
  <si>
    <t>Уборка мест общего пользования</t>
  </si>
  <si>
    <t>Прочие расходы</t>
  </si>
  <si>
    <t>Итого расходы по смете</t>
  </si>
  <si>
    <t>Расходы всего</t>
  </si>
  <si>
    <t>Объем поступлений от аренды МОП:</t>
  </si>
  <si>
    <t>ОП "Стафф-Альянс"</t>
  </si>
  <si>
    <t>Отчет о расходовании денежных средств ТСН "Роял Парк"</t>
  </si>
  <si>
    <t>Текущий ремонт общего имущества</t>
  </si>
  <si>
    <t>Содержание элементов благоустройства на прилегающей территории</t>
  </si>
  <si>
    <t>Обслуживание лифтов</t>
  </si>
  <si>
    <t>Обслуживание и ремонт СКУД</t>
  </si>
  <si>
    <t>Обслуживание и ремонт АППЗ</t>
  </si>
  <si>
    <t>Обслуживание и ремонт системы видеонаблюдения</t>
  </si>
  <si>
    <t>Обслуживание и ремонт системы вентиляции и кондиционирования</t>
  </si>
  <si>
    <t>ООО "УК "Сервис Экспресс"</t>
  </si>
  <si>
    <t>Обслуживание системы оповещения ГО и ЧС</t>
  </si>
  <si>
    <t>Круглосуточная аварийно-диспетчерская служба</t>
  </si>
  <si>
    <t>Эксплуатация коллективных ПУ коммунальных ресурсов</t>
  </si>
  <si>
    <t>Служба охраны</t>
  </si>
  <si>
    <t>Клининг элементов фасада и остекления</t>
  </si>
  <si>
    <t>Служба консьерж-сервис</t>
  </si>
  <si>
    <t>Аренда телекоммуникационных сетей</t>
  </si>
  <si>
    <t>Обслуживание подъемных ворот</t>
  </si>
  <si>
    <t>ООО "Теплоэнерго"</t>
  </si>
  <si>
    <t>ООО "Славянская сбытовая компания"</t>
  </si>
  <si>
    <t>АО "НЭО"</t>
  </si>
  <si>
    <t>ООО " Гринсервис"</t>
  </si>
  <si>
    <t>аренда офиса</t>
  </si>
  <si>
    <t>перевод в резервный фонд</t>
  </si>
  <si>
    <t>Отклонение</t>
  </si>
  <si>
    <t>ВЭЛСОФТ ООО</t>
  </si>
  <si>
    <t>Комплекс</t>
  </si>
  <si>
    <t>Паркинг</t>
  </si>
  <si>
    <t>ИП Соболев П.В.</t>
  </si>
  <si>
    <t>Щупаков Б.В.</t>
  </si>
  <si>
    <t>юр услуги</t>
  </si>
  <si>
    <t>Акимов Михаил Валерьевич</t>
  </si>
  <si>
    <t>Услуги управления</t>
  </si>
  <si>
    <t>Урмет Интерком</t>
  </si>
  <si>
    <t>за радиобрелки</t>
  </si>
  <si>
    <t>Расходы за счет резервного фонда</t>
  </si>
  <si>
    <t xml:space="preserve">за техническую поддержку программного обесп. для АДС </t>
  </si>
  <si>
    <t>услуги связи</t>
  </si>
  <si>
    <t>Компания Тензор</t>
  </si>
  <si>
    <t xml:space="preserve">Права использования "Web-система СБИС" модуль ЭДО </t>
  </si>
  <si>
    <t>ЛИК ООО</t>
  </si>
  <si>
    <t>выдача 4 х комплектов хим. подготовленной посуды</t>
  </si>
  <si>
    <t>Информ-связь, МТС</t>
  </si>
  <si>
    <t>МИ ФНС России</t>
  </si>
  <si>
    <t>Налоги</t>
  </si>
  <si>
    <t>Объем поступлений за ЖКУ :</t>
  </si>
  <si>
    <t xml:space="preserve"> Орлик Г.Г.</t>
  </si>
  <si>
    <t>бух обслуживание , компенсация ЭДО</t>
  </si>
  <si>
    <t>расчетно-кассовое обслуживание</t>
  </si>
  <si>
    <t>Альфа-Банк</t>
  </si>
  <si>
    <t>Альфа банк</t>
  </si>
  <si>
    <t>Объем поступлений за ЖКУ</t>
  </si>
  <si>
    <t>Райффайзенбанк</t>
  </si>
  <si>
    <t>Сбербанк</t>
  </si>
  <si>
    <t>Остаток ДС на 31.07.2024 (Райффайзенбанк)</t>
  </si>
  <si>
    <t>Остаток ДС на счете резервного фонда по состоянию на 31.07.2024 (Райффайзенбанк)</t>
  </si>
  <si>
    <t>Остаток ДС на 31.07.2024 (Альфа-Банк)</t>
  </si>
  <si>
    <t xml:space="preserve">Зарплата </t>
  </si>
  <si>
    <t>проверка рс</t>
  </si>
  <si>
    <t>За август 2024 ( на 31.08.2024)</t>
  </si>
  <si>
    <t>Остаток ДС на р/сч по состоянию на 31.07.2024 (Райффайзенбанк)</t>
  </si>
  <si>
    <t>Остаток ДС на р/сч по состоянию на 31.07.2024 (Альфа-Банк)</t>
  </si>
  <si>
    <t>Остаток ДС на р/сч по состоянию на 31.07.2024 (Сбербанк)</t>
  </si>
  <si>
    <t>Остаток ДС на 31.08.2024 (Сбербанк)</t>
  </si>
  <si>
    <t>Остаток ДС на счете резервного фонда по состоянию на 31.08.2024 (Райффайзенбанк)</t>
  </si>
  <si>
    <t>Управление комплексом (списания со счета Альфа банк)</t>
  </si>
  <si>
    <t>РСО (списания со счета Альфа Банк)</t>
  </si>
  <si>
    <t>В том числе ООО "УК "Сервис Экспресс" (оплата задолженности за март-июнь 2024)</t>
  </si>
  <si>
    <t>альфа банк (март, апрель)</t>
  </si>
  <si>
    <t>Райффайзенбанк (май, июнь)</t>
  </si>
  <si>
    <t>Управление зданием (альфа банк) за апрель</t>
  </si>
  <si>
    <t>Управление зданием (райффайзенбанк) май, июнь</t>
  </si>
  <si>
    <t>альфа банк (апрель)</t>
  </si>
  <si>
    <t>Райффайзенбанк  (май, июнь)</t>
  </si>
  <si>
    <t>Задолженность собственников за ЖКУ на 01.08.2024:</t>
  </si>
  <si>
    <t>Задолженность собственников по взносам на РФ на 01.08.2024: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</si>
</sst>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 vertical="top" wrapText="1"/>
    </xf>
    <xf numFmtId="0" fontId="1" fillId="3" borderId="2" xfId="1" applyFill="1" applyBorder="1"/>
    <xf numFmtId="0" fontId="1" fillId="3" borderId="3" xfId="1" applyFill="1" applyBorder="1"/>
    <xf numFmtId="4" fontId="1" fillId="3" borderId="1" xfId="1" applyNumberFormat="1" applyFill="1" applyBorder="1"/>
    <xf numFmtId="0" fontId="1" fillId="0" borderId="1" xfId="1" applyBorder="1" applyAlignment="1">
      <alignment horizontal="right"/>
    </xf>
    <xf numFmtId="0" fontId="1" fillId="0" borderId="1" xfId="1" applyBorder="1"/>
    <xf numFmtId="4" fontId="1" fillId="0" borderId="1" xfId="1" applyNumberFormat="1" applyBorder="1" applyAlignment="1">
      <alignment vertical="top"/>
    </xf>
    <xf numFmtId="0" fontId="1" fillId="4" borderId="2" xfId="1" applyFill="1" applyBorder="1"/>
    <xf numFmtId="0" fontId="1" fillId="4" borderId="3" xfId="1" applyFill="1" applyBorder="1"/>
    <xf numFmtId="4" fontId="1" fillId="4" borderId="1" xfId="1" applyNumberFormat="1" applyFill="1" applyBorder="1"/>
    <xf numFmtId="0" fontId="1" fillId="0" borderId="1" xfId="1" applyBorder="1" applyAlignment="1">
      <alignment horizontal="right" vertical="top" wrapText="1"/>
    </xf>
    <xf numFmtId="0" fontId="1" fillId="0" borderId="1" xfId="1" applyBorder="1" applyAlignment="1">
      <alignment vertical="top" wrapText="1"/>
    </xf>
    <xf numFmtId="0" fontId="2" fillId="4" borderId="2" xfId="1" applyFont="1" applyFill="1" applyBorder="1"/>
    <xf numFmtId="0" fontId="2" fillId="4" borderId="3" xfId="1" applyFont="1" applyFill="1" applyBorder="1"/>
    <xf numFmtId="4" fontId="2" fillId="4" borderId="1" xfId="1" applyNumberFormat="1" applyFont="1" applyFill="1" applyBorder="1"/>
    <xf numFmtId="0" fontId="2" fillId="3" borderId="2" xfId="1" applyFont="1" applyFill="1" applyBorder="1"/>
    <xf numFmtId="0" fontId="2" fillId="3" borderId="3" xfId="1" applyFont="1" applyFill="1" applyBorder="1"/>
    <xf numFmtId="4" fontId="2" fillId="3" borderId="1" xfId="1" applyNumberFormat="1" applyFont="1" applyFill="1" applyBorder="1"/>
    <xf numFmtId="3" fontId="1" fillId="0" borderId="0" xfId="1" applyNumberFormat="1"/>
    <xf numFmtId="4" fontId="1" fillId="0" borderId="0" xfId="1" applyNumberFormat="1"/>
    <xf numFmtId="2" fontId="1" fillId="0" borderId="1" xfId="1" applyNumberFormat="1" applyBorder="1" applyAlignment="1">
      <alignment vertical="top"/>
    </xf>
    <xf numFmtId="2" fontId="1" fillId="4" borderId="1" xfId="1" applyNumberFormat="1" applyFill="1" applyBorder="1"/>
    <xf numFmtId="2" fontId="1" fillId="5" borderId="1" xfId="1" applyNumberFormat="1" applyFill="1" applyBorder="1" applyAlignment="1">
      <alignment vertical="top"/>
    </xf>
    <xf numFmtId="4" fontId="1" fillId="0" borderId="1" xfId="1" applyNumberFormat="1" applyBorder="1"/>
    <xf numFmtId="4" fontId="1" fillId="5" borderId="1" xfId="1" applyNumberFormat="1" applyFill="1" applyBorder="1" applyAlignment="1">
      <alignment vertical="top"/>
    </xf>
    <xf numFmtId="4" fontId="3" fillId="5" borderId="1" xfId="1" applyNumberFormat="1" applyFont="1" applyFill="1" applyBorder="1" applyAlignment="1">
      <alignment vertical="top"/>
    </xf>
    <xf numFmtId="4" fontId="4" fillId="5" borderId="0" xfId="1" applyNumberFormat="1" applyFont="1" applyFill="1"/>
    <xf numFmtId="4" fontId="2" fillId="0" borderId="0" xfId="1" applyNumberFormat="1" applyFont="1"/>
    <xf numFmtId="0" fontId="0" fillId="0" borderId="0" xfId="1" applyFont="1"/>
    <xf numFmtId="0" fontId="0" fillId="0" borderId="1" xfId="1" applyFont="1" applyBorder="1" applyAlignment="1">
      <alignment horizontal="right" vertical="top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1" fillId="6" borderId="0" xfId="1" applyFill="1"/>
    <xf numFmtId="0" fontId="2" fillId="6" borderId="1" xfId="1" applyFont="1" applyFill="1" applyBorder="1" applyAlignment="1">
      <alignment horizontal="center" vertical="top" wrapText="1"/>
    </xf>
    <xf numFmtId="0" fontId="0" fillId="5" borderId="0" xfId="1" applyFont="1" applyFill="1"/>
    <xf numFmtId="0" fontId="1" fillId="5" borderId="0" xfId="1" applyFill="1"/>
    <xf numFmtId="0" fontId="1" fillId="5" borderId="0" xfId="1" applyFill="1" applyAlignment="1">
      <alignment horizontal="right"/>
    </xf>
    <xf numFmtId="4" fontId="4" fillId="2" borderId="0" xfId="1" applyNumberFormat="1" applyFont="1" applyFill="1"/>
    <xf numFmtId="4" fontId="0" fillId="5" borderId="1" xfId="1" applyNumberFormat="1" applyFont="1" applyFill="1" applyBorder="1" applyAlignment="1">
      <alignment vertical="top"/>
    </xf>
    <xf numFmtId="0" fontId="1" fillId="0" borderId="3" xfId="1" applyBorder="1" applyAlignment="1">
      <alignment vertical="top" wrapText="1"/>
    </xf>
    <xf numFmtId="0" fontId="1" fillId="0" borderId="4" xfId="1" applyBorder="1" applyAlignment="1">
      <alignment vertical="top" wrapText="1"/>
    </xf>
    <xf numFmtId="2" fontId="1" fillId="0" borderId="1" xfId="1" applyNumberFormat="1" applyBorder="1"/>
    <xf numFmtId="4" fontId="3" fillId="0" borderId="1" xfId="1" applyNumberFormat="1" applyFont="1" applyBorder="1" applyAlignment="1">
      <alignment vertical="top"/>
    </xf>
    <xf numFmtId="0" fontId="1" fillId="4" borderId="2" xfId="1" applyFill="1" applyBorder="1" applyAlignment="1">
      <alignment horizontal="left" vertical="top" wrapText="1"/>
    </xf>
    <xf numFmtId="0" fontId="1" fillId="4" borderId="4" xfId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1" fillId="4" borderId="2" xfId="1" applyFill="1" applyBorder="1" applyAlignment="1">
      <alignment horizontal="left" wrapText="1"/>
    </xf>
    <xf numFmtId="0" fontId="1" fillId="4" borderId="4" xfId="1" applyFill="1" applyBorder="1" applyAlignment="1">
      <alignment horizontal="left" wrapText="1"/>
    </xf>
    <xf numFmtId="0" fontId="2" fillId="6" borderId="2" xfId="1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L112"/>
  <sheetViews>
    <sheetView tabSelected="1" zoomScale="70" zoomScaleNormal="70" workbookViewId="0">
      <pane xSplit="4" ySplit="25" topLeftCell="E29" activePane="bottomRight" state="frozen"/>
      <selection pane="topRight" activeCell="E1" sqref="E1"/>
      <selection pane="bottomLeft" activeCell="A13" sqref="A13"/>
      <selection pane="bottomRight" activeCell="F9" sqref="F9"/>
    </sheetView>
  </sheetViews>
  <sheetFormatPr defaultColWidth="10.83203125" defaultRowHeight="15.5" outlineLevelRow="1" x14ac:dyDescent="0.35"/>
  <cols>
    <col min="1" max="1" width="31.58203125" style="1" customWidth="1"/>
    <col min="2" max="2" width="33.33203125" style="1" customWidth="1"/>
    <col min="3" max="3" width="13.5" style="1" customWidth="1"/>
    <col min="4" max="5" width="13.33203125" style="1" customWidth="1"/>
    <col min="6" max="6" width="13.08203125" style="1" bestFit="1" customWidth="1"/>
    <col min="7" max="7" width="13.5" style="1" customWidth="1"/>
    <col min="8" max="8" width="13.33203125" style="1" customWidth="1"/>
    <col min="9" max="9" width="12.58203125" style="1" bestFit="1" customWidth="1"/>
    <col min="10" max="10" width="12.08203125" style="1" bestFit="1" customWidth="1"/>
    <col min="11" max="11" width="10.83203125" style="1"/>
    <col min="12" max="12" width="12.08203125" style="1" bestFit="1" customWidth="1"/>
    <col min="13" max="16384" width="10.83203125" style="1"/>
  </cols>
  <sheetData>
    <row r="1" spans="1:10" x14ac:dyDescent="0.35">
      <c r="A1" s="51" t="s">
        <v>21</v>
      </c>
      <c r="B1" s="51"/>
      <c r="C1" s="51"/>
      <c r="D1" s="51"/>
    </row>
    <row r="2" spans="1:10" x14ac:dyDescent="0.35">
      <c r="A2" s="51" t="s">
        <v>79</v>
      </c>
      <c r="B2" s="51"/>
      <c r="C2" s="51"/>
      <c r="D2" s="51"/>
    </row>
    <row r="3" spans="1:10" x14ac:dyDescent="0.35">
      <c r="A3" s="32" t="s">
        <v>80</v>
      </c>
      <c r="C3" s="43">
        <v>5980248.5800000001</v>
      </c>
      <c r="D3" s="2" t="s">
        <v>0</v>
      </c>
      <c r="E3" s="31">
        <f>C3+C4+C5+C6</f>
        <v>15927537.910000002</v>
      </c>
    </row>
    <row r="4" spans="1:10" x14ac:dyDescent="0.35">
      <c r="A4" s="32" t="s">
        <v>81</v>
      </c>
      <c r="C4" s="43">
        <v>5836988.7300000004</v>
      </c>
      <c r="D4" s="2" t="s">
        <v>0</v>
      </c>
      <c r="E4" s="2"/>
    </row>
    <row r="5" spans="1:10" x14ac:dyDescent="0.35">
      <c r="A5" s="32" t="s">
        <v>75</v>
      </c>
      <c r="C5" s="43">
        <v>3975251.6100000003</v>
      </c>
      <c r="D5" s="2" t="s">
        <v>0</v>
      </c>
      <c r="E5" s="2"/>
    </row>
    <row r="6" spans="1:10" x14ac:dyDescent="0.35">
      <c r="A6" s="32" t="s">
        <v>82</v>
      </c>
      <c r="C6" s="43">
        <v>135048.99</v>
      </c>
      <c r="D6" s="2" t="s">
        <v>0</v>
      </c>
      <c r="E6" s="2"/>
    </row>
    <row r="7" spans="1:10" x14ac:dyDescent="0.35">
      <c r="A7" s="1" t="s">
        <v>65</v>
      </c>
      <c r="B7" s="32" t="s">
        <v>70</v>
      </c>
      <c r="C7" s="43">
        <f>5620115.76-454721.35</f>
        <v>5165394.41</v>
      </c>
      <c r="D7" s="2" t="s">
        <v>0</v>
      </c>
      <c r="E7" s="2"/>
    </row>
    <row r="8" spans="1:10" ht="17.25" customHeight="1" x14ac:dyDescent="0.35">
      <c r="A8" s="32" t="s">
        <v>71</v>
      </c>
      <c r="B8" s="32" t="s">
        <v>72</v>
      </c>
      <c r="C8" s="43">
        <v>358332.18</v>
      </c>
      <c r="D8" s="2" t="s">
        <v>0</v>
      </c>
      <c r="E8" s="2"/>
    </row>
    <row r="9" spans="1:10" ht="17.25" customHeight="1" x14ac:dyDescent="0.35">
      <c r="A9" s="32" t="s">
        <v>65</v>
      </c>
      <c r="B9" s="32" t="s">
        <v>73</v>
      </c>
      <c r="C9" s="43">
        <v>0</v>
      </c>
      <c r="D9" s="2" t="s">
        <v>0</v>
      </c>
      <c r="E9" s="2"/>
    </row>
    <row r="10" spans="1:10" x14ac:dyDescent="0.35">
      <c r="A10" s="1" t="s">
        <v>19</v>
      </c>
      <c r="C10" s="43">
        <v>0</v>
      </c>
      <c r="D10" s="2" t="s">
        <v>0</v>
      </c>
      <c r="E10" s="2"/>
    </row>
    <row r="11" spans="1:10" x14ac:dyDescent="0.35">
      <c r="A11" s="40" t="s">
        <v>94</v>
      </c>
      <c r="B11" s="41"/>
      <c r="C11" s="43">
        <v>13224976.439999999</v>
      </c>
      <c r="D11" s="2" t="s">
        <v>0</v>
      </c>
      <c r="E11" s="2"/>
    </row>
    <row r="12" spans="1:10" x14ac:dyDescent="0.35">
      <c r="A12" s="42"/>
      <c r="B12" s="42" t="s">
        <v>1</v>
      </c>
      <c r="C12" s="43">
        <v>8207287.0899999999</v>
      </c>
      <c r="D12" s="2" t="s">
        <v>0</v>
      </c>
      <c r="E12" s="2"/>
      <c r="F12" s="23"/>
      <c r="I12" s="23"/>
    </row>
    <row r="13" spans="1:10" x14ac:dyDescent="0.35">
      <c r="A13" s="40" t="s">
        <v>95</v>
      </c>
      <c r="B13" s="41"/>
      <c r="C13" s="43">
        <v>762886.99</v>
      </c>
      <c r="D13" s="2" t="s">
        <v>0</v>
      </c>
      <c r="E13" s="2"/>
      <c r="H13" s="23"/>
      <c r="I13" s="23"/>
    </row>
    <row r="14" spans="1:10" x14ac:dyDescent="0.35">
      <c r="A14" s="41"/>
      <c r="B14" s="42" t="s">
        <v>1</v>
      </c>
      <c r="C14" s="43">
        <v>436397.61</v>
      </c>
      <c r="D14" s="2" t="s">
        <v>0</v>
      </c>
      <c r="E14" s="2"/>
      <c r="G14" s="23"/>
      <c r="I14" s="23"/>
    </row>
    <row r="15" spans="1:10" x14ac:dyDescent="0.35">
      <c r="A15" s="32" t="s">
        <v>74</v>
      </c>
      <c r="C15" s="43">
        <f>C3+C8-D34-D54-D57-D60-D63-D66-D69-D72-D75-D78-D81-D84-D87-D92-D95-D98-D101</f>
        <v>1528952.5599999996</v>
      </c>
      <c r="D15" s="2" t="s">
        <v>0</v>
      </c>
      <c r="E15" s="31"/>
      <c r="F15" s="23">
        <v>10991021.98</v>
      </c>
      <c r="G15" s="23">
        <f>C15+C16+C17+C18-F15</f>
        <v>0</v>
      </c>
      <c r="H15" s="32" t="s">
        <v>78</v>
      </c>
      <c r="J15" s="23"/>
    </row>
    <row r="16" spans="1:10" x14ac:dyDescent="0.35">
      <c r="A16" s="32" t="s">
        <v>84</v>
      </c>
      <c r="C16" s="43">
        <f>C5</f>
        <v>3975251.6100000003</v>
      </c>
      <c r="D16" s="2" t="s">
        <v>0</v>
      </c>
      <c r="F16" s="23"/>
    </row>
    <row r="17" spans="1:10" x14ac:dyDescent="0.35">
      <c r="A17" s="32" t="s">
        <v>76</v>
      </c>
      <c r="C17" s="43">
        <f>C4+C7-D26-D32+D34-D53-D56-D59-D62-D65-D68-D71-D74-D77-D80-D83-D86-D89-D91-D94-D97-D100-D103</f>
        <v>5351768.8200000012</v>
      </c>
      <c r="D17" s="2" t="s">
        <v>0</v>
      </c>
      <c r="E17" s="31"/>
      <c r="F17" s="23"/>
      <c r="J17" s="23"/>
    </row>
    <row r="18" spans="1:10" x14ac:dyDescent="0.35">
      <c r="A18" s="32" t="s">
        <v>83</v>
      </c>
      <c r="C18" s="43">
        <f>C6</f>
        <v>135048.99</v>
      </c>
      <c r="D18" s="2" t="s">
        <v>0</v>
      </c>
      <c r="E18" s="31"/>
      <c r="F18" s="23"/>
      <c r="J18" s="23"/>
    </row>
    <row r="19" spans="1:10" x14ac:dyDescent="0.35">
      <c r="A19" s="32"/>
      <c r="C19" s="30"/>
      <c r="D19" s="2"/>
    </row>
    <row r="20" spans="1:10" ht="23.25" customHeight="1" x14ac:dyDescent="0.35">
      <c r="A20" s="57" t="s">
        <v>55</v>
      </c>
      <c r="B20" s="58"/>
      <c r="C20" s="58"/>
      <c r="D20" s="58"/>
      <c r="E20" s="59"/>
      <c r="F20" s="38"/>
      <c r="G20" s="39"/>
      <c r="H20" s="39"/>
    </row>
    <row r="21" spans="1:10" x14ac:dyDescent="0.35">
      <c r="A21" s="5"/>
      <c r="B21" s="6"/>
      <c r="C21" s="7"/>
      <c r="D21" s="7"/>
      <c r="E21" s="7"/>
      <c r="G21" s="7"/>
      <c r="H21" s="7"/>
    </row>
    <row r="22" spans="1:10" ht="59.25" hidden="1" customHeight="1" outlineLevel="1" x14ac:dyDescent="0.35">
      <c r="A22" s="35"/>
      <c r="B22" s="36"/>
      <c r="C22" s="10"/>
      <c r="D22" s="10"/>
      <c r="E22" s="10"/>
      <c r="G22" s="10"/>
      <c r="H22" s="10"/>
    </row>
    <row r="23" spans="1:10" ht="0.75" customHeight="1" outlineLevel="1" x14ac:dyDescent="0.35">
      <c r="A23" s="35"/>
      <c r="B23" s="36"/>
      <c r="C23" s="10" t="s">
        <v>7</v>
      </c>
      <c r="D23" s="29"/>
      <c r="E23" s="10"/>
      <c r="G23" s="10"/>
      <c r="H23" s="10"/>
    </row>
    <row r="24" spans="1:10" ht="23.25" customHeight="1" outlineLevel="1" x14ac:dyDescent="0.35">
      <c r="A24" s="8"/>
      <c r="B24" s="37"/>
      <c r="C24" s="10" t="s">
        <v>7</v>
      </c>
      <c r="D24" s="29"/>
      <c r="E24" s="10"/>
      <c r="G24" s="10"/>
      <c r="H24" s="10"/>
    </row>
    <row r="25" spans="1:10" ht="31" x14ac:dyDescent="0.35">
      <c r="A25" s="4" t="s">
        <v>2</v>
      </c>
      <c r="B25" s="4" t="s">
        <v>3</v>
      </c>
      <c r="C25" s="4" t="s">
        <v>4</v>
      </c>
      <c r="D25" s="4" t="s">
        <v>5</v>
      </c>
      <c r="E25" s="4" t="s">
        <v>44</v>
      </c>
      <c r="G25" s="4" t="s">
        <v>46</v>
      </c>
      <c r="H25" s="4" t="s">
        <v>47</v>
      </c>
    </row>
    <row r="26" spans="1:10" x14ac:dyDescent="0.35">
      <c r="A26" s="5" t="s">
        <v>86</v>
      </c>
      <c r="B26" s="6"/>
      <c r="C26" s="7"/>
      <c r="D26" s="7">
        <f>SUM(D27:D30)</f>
        <v>1493352.09</v>
      </c>
      <c r="E26" s="7"/>
      <c r="G26" s="7"/>
      <c r="H26" s="7"/>
    </row>
    <row r="27" spans="1:10" outlineLevel="1" x14ac:dyDescent="0.35">
      <c r="A27" s="8" t="s">
        <v>38</v>
      </c>
      <c r="B27" s="9" t="s">
        <v>6</v>
      </c>
      <c r="C27" s="10" t="s">
        <v>7</v>
      </c>
      <c r="D27" s="10">
        <v>121201.51</v>
      </c>
      <c r="E27" s="10"/>
      <c r="G27" s="10"/>
      <c r="H27" s="10"/>
    </row>
    <row r="28" spans="1:10" outlineLevel="1" x14ac:dyDescent="0.35">
      <c r="A28" s="8" t="s">
        <v>39</v>
      </c>
      <c r="B28" s="9" t="s">
        <v>8</v>
      </c>
      <c r="C28" s="10" t="s">
        <v>7</v>
      </c>
      <c r="D28" s="29">
        <v>841507.32</v>
      </c>
      <c r="E28" s="10"/>
      <c r="G28" s="10"/>
      <c r="H28" s="10"/>
    </row>
    <row r="29" spans="1:10" outlineLevel="1" x14ac:dyDescent="0.35">
      <c r="A29" s="8" t="s">
        <v>9</v>
      </c>
      <c r="B29" s="9" t="s">
        <v>10</v>
      </c>
      <c r="C29" s="10" t="s">
        <v>7</v>
      </c>
      <c r="D29" s="29">
        <v>493718.92</v>
      </c>
      <c r="E29" s="10"/>
      <c r="G29" s="10"/>
      <c r="H29" s="10"/>
    </row>
    <row r="30" spans="1:10" outlineLevel="1" x14ac:dyDescent="0.35">
      <c r="A30" s="8" t="s">
        <v>40</v>
      </c>
      <c r="B30" s="9" t="s">
        <v>11</v>
      </c>
      <c r="C30" s="10" t="s">
        <v>7</v>
      </c>
      <c r="D30" s="29">
        <v>36924.339999999997</v>
      </c>
      <c r="E30" s="10"/>
      <c r="G30" s="10"/>
      <c r="H30" s="10"/>
    </row>
    <row r="31" spans="1:10" x14ac:dyDescent="0.35">
      <c r="A31" s="52" t="s">
        <v>12</v>
      </c>
      <c r="B31" s="53"/>
      <c r="C31" s="53"/>
      <c r="D31" s="53"/>
      <c r="E31" s="54"/>
    </row>
    <row r="32" spans="1:10" x14ac:dyDescent="0.35">
      <c r="A32" s="11" t="s">
        <v>85</v>
      </c>
      <c r="B32" s="12"/>
      <c r="C32" s="13">
        <v>770540.98300000012</v>
      </c>
      <c r="D32" s="13">
        <f>D33+D35+D36+D37+D38+D39+D40+D41+D42+D43+D44+D45+D47+D48+D50+D51+D34</f>
        <v>1010505.28</v>
      </c>
      <c r="E32" s="13">
        <f>C32-D32</f>
        <v>-239964.2969999999</v>
      </c>
      <c r="G32" s="13"/>
      <c r="H32" s="13"/>
    </row>
    <row r="33" spans="1:10" ht="36.75" customHeight="1" outlineLevel="1" x14ac:dyDescent="0.35">
      <c r="A33" s="14" t="s">
        <v>29</v>
      </c>
      <c r="B33" s="15" t="s">
        <v>90</v>
      </c>
      <c r="C33" s="10" t="s">
        <v>7</v>
      </c>
      <c r="D33" s="28">
        <f>G33+H33</f>
        <v>199891</v>
      </c>
      <c r="E33" s="10"/>
      <c r="G33" s="10">
        <v>140212</v>
      </c>
      <c r="H33" s="10">
        <v>59679</v>
      </c>
    </row>
    <row r="34" spans="1:10" ht="31" outlineLevel="1" x14ac:dyDescent="0.35">
      <c r="A34" s="14" t="s">
        <v>29</v>
      </c>
      <c r="B34" s="15" t="s">
        <v>91</v>
      </c>
      <c r="C34" s="10"/>
      <c r="D34" s="28">
        <f>G34+H34</f>
        <v>399782</v>
      </c>
      <c r="E34" s="10"/>
      <c r="G34" s="10">
        <f>140212+140212</f>
        <v>280424</v>
      </c>
      <c r="H34" s="10">
        <f>59679+59679</f>
        <v>119358</v>
      </c>
    </row>
    <row r="35" spans="1:10" ht="25.5" customHeight="1" outlineLevel="1" x14ac:dyDescent="0.35">
      <c r="A35" s="14" t="s">
        <v>51</v>
      </c>
      <c r="B35" s="15" t="s">
        <v>52</v>
      </c>
      <c r="C35" s="10"/>
      <c r="D35" s="28">
        <v>0</v>
      </c>
      <c r="E35" s="10"/>
      <c r="G35" s="10"/>
      <c r="H35" s="10"/>
    </row>
    <row r="36" spans="1:10" ht="23.25" customHeight="1" outlineLevel="1" x14ac:dyDescent="0.35">
      <c r="A36" s="14" t="s">
        <v>48</v>
      </c>
      <c r="B36" s="15" t="s">
        <v>67</v>
      </c>
      <c r="C36" s="10" t="s">
        <v>7</v>
      </c>
      <c r="D36" s="28">
        <v>37000</v>
      </c>
      <c r="E36" s="10"/>
      <c r="G36" s="9"/>
      <c r="H36" s="47"/>
    </row>
    <row r="37" spans="1:10" ht="24" customHeight="1" outlineLevel="1" x14ac:dyDescent="0.35">
      <c r="A37" s="14" t="s">
        <v>49</v>
      </c>
      <c r="B37" s="15" t="s">
        <v>50</v>
      </c>
      <c r="C37" s="10" t="s">
        <v>7</v>
      </c>
      <c r="D37" s="28">
        <v>0</v>
      </c>
      <c r="E37" s="10"/>
      <c r="G37" s="10"/>
      <c r="H37" s="24"/>
    </row>
    <row r="38" spans="1:10" ht="20.25" customHeight="1" outlineLevel="1" x14ac:dyDescent="0.35">
      <c r="A38" s="14" t="s">
        <v>66</v>
      </c>
      <c r="B38" s="34" t="s">
        <v>77</v>
      </c>
      <c r="C38" s="10" t="s">
        <v>7</v>
      </c>
      <c r="D38" s="28">
        <v>221197.5</v>
      </c>
      <c r="E38" s="10"/>
      <c r="G38" s="10"/>
      <c r="H38" s="24"/>
      <c r="J38" s="23"/>
    </row>
    <row r="39" spans="1:10" ht="29.25" hidden="1" customHeight="1" outlineLevel="1" x14ac:dyDescent="0.35">
      <c r="A39" s="33"/>
      <c r="B39" s="34"/>
      <c r="C39" s="10"/>
      <c r="D39" s="44"/>
      <c r="E39" s="10"/>
      <c r="G39" s="10"/>
      <c r="H39" s="24"/>
    </row>
    <row r="40" spans="1:10" ht="22.5" customHeight="1" outlineLevel="1" x14ac:dyDescent="0.35">
      <c r="A40" s="14" t="s">
        <v>41</v>
      </c>
      <c r="B40" s="15" t="s">
        <v>42</v>
      </c>
      <c r="C40" s="10"/>
      <c r="D40" s="29">
        <v>20000</v>
      </c>
      <c r="E40" s="10"/>
      <c r="G40" s="10"/>
      <c r="H40" s="24"/>
    </row>
    <row r="41" spans="1:10" ht="0.75" hidden="1" customHeight="1" outlineLevel="1" x14ac:dyDescent="0.35">
      <c r="A41" s="14"/>
      <c r="B41" s="15"/>
      <c r="C41" s="10"/>
      <c r="D41" s="29"/>
      <c r="E41" s="10"/>
      <c r="G41" s="10"/>
      <c r="H41" s="24"/>
    </row>
    <row r="42" spans="1:10" ht="30.75" customHeight="1" outlineLevel="1" x14ac:dyDescent="0.35">
      <c r="A42" s="14" t="s">
        <v>45</v>
      </c>
      <c r="B42" s="34" t="s">
        <v>56</v>
      </c>
      <c r="C42" s="10"/>
      <c r="D42" s="29">
        <v>36390.78</v>
      </c>
      <c r="E42" s="10"/>
      <c r="G42" s="10"/>
      <c r="H42" s="24"/>
    </row>
    <row r="43" spans="1:10" ht="34.5" hidden="1" customHeight="1" outlineLevel="1" x14ac:dyDescent="0.35">
      <c r="A43" s="33"/>
      <c r="B43" s="34"/>
      <c r="C43" s="10"/>
      <c r="D43" s="29"/>
      <c r="E43" s="10"/>
      <c r="G43" s="10"/>
      <c r="H43" s="24"/>
    </row>
    <row r="44" spans="1:10" ht="33" customHeight="1" outlineLevel="1" x14ac:dyDescent="0.35">
      <c r="A44" s="33" t="s">
        <v>62</v>
      </c>
      <c r="B44" s="34" t="s">
        <v>57</v>
      </c>
      <c r="C44" s="10"/>
      <c r="D44" s="29">
        <v>240</v>
      </c>
      <c r="E44" s="10"/>
      <c r="G44" s="10"/>
      <c r="H44" s="24"/>
    </row>
    <row r="45" spans="1:10" ht="36.75" hidden="1" customHeight="1" outlineLevel="1" x14ac:dyDescent="0.35">
      <c r="A45" s="33"/>
      <c r="B45" s="34"/>
      <c r="C45" s="10"/>
      <c r="D45" s="29"/>
      <c r="E45" s="10"/>
      <c r="G45" s="10"/>
      <c r="H45" s="24"/>
    </row>
    <row r="46" spans="1:10" ht="36.75" hidden="1" customHeight="1" outlineLevel="1" x14ac:dyDescent="0.35">
      <c r="A46" s="33" t="s">
        <v>60</v>
      </c>
      <c r="B46" s="34" t="s">
        <v>61</v>
      </c>
      <c r="C46" s="10"/>
      <c r="D46" s="29"/>
      <c r="E46" s="10"/>
      <c r="G46" s="10"/>
      <c r="H46" s="24"/>
    </row>
    <row r="47" spans="1:10" ht="36.75" hidden="1" customHeight="1" outlineLevel="1" x14ac:dyDescent="0.35">
      <c r="A47" s="33"/>
      <c r="B47" s="34"/>
      <c r="C47" s="10"/>
      <c r="D47" s="29"/>
      <c r="E47" s="10"/>
      <c r="G47" s="10"/>
      <c r="H47" s="24"/>
    </row>
    <row r="48" spans="1:10" ht="36.75" hidden="1" customHeight="1" outlineLevel="1" x14ac:dyDescent="0.35">
      <c r="A48" s="33"/>
      <c r="B48" s="34"/>
      <c r="C48" s="10"/>
      <c r="D48" s="29"/>
      <c r="E48" s="10"/>
      <c r="G48" s="10"/>
      <c r="H48" s="24"/>
    </row>
    <row r="49" spans="1:8" ht="36.75" hidden="1" customHeight="1" outlineLevel="1" x14ac:dyDescent="0.35">
      <c r="A49" s="33" t="s">
        <v>58</v>
      </c>
      <c r="B49" s="34" t="s">
        <v>59</v>
      </c>
      <c r="C49" s="10"/>
      <c r="D49" s="29"/>
      <c r="E49" s="10"/>
      <c r="G49" s="10"/>
      <c r="H49" s="24"/>
    </row>
    <row r="50" spans="1:8" ht="36.75" customHeight="1" outlineLevel="1" x14ac:dyDescent="0.35">
      <c r="A50" s="33" t="s">
        <v>63</v>
      </c>
      <c r="B50" s="34" t="s">
        <v>64</v>
      </c>
      <c r="C50" s="10"/>
      <c r="D50" s="29">
        <f>93975+339</f>
        <v>94314</v>
      </c>
      <c r="E50" s="10"/>
      <c r="G50" s="10"/>
      <c r="H50" s="24"/>
    </row>
    <row r="51" spans="1:8" ht="27" customHeight="1" outlineLevel="1" x14ac:dyDescent="0.35">
      <c r="A51" s="33" t="s">
        <v>69</v>
      </c>
      <c r="B51" s="34" t="s">
        <v>68</v>
      </c>
      <c r="C51" s="10"/>
      <c r="D51" s="29">
        <v>1690</v>
      </c>
      <c r="E51" s="10"/>
      <c r="G51" s="10"/>
      <c r="H51" s="24"/>
    </row>
    <row r="52" spans="1:8" x14ac:dyDescent="0.35">
      <c r="A52" s="11" t="s">
        <v>13</v>
      </c>
      <c r="B52" s="12"/>
      <c r="C52" s="13">
        <f>412557.838*4</f>
        <v>1650231.352</v>
      </c>
      <c r="D52" s="13">
        <f>SUM(D53:D54)</f>
        <v>1593057</v>
      </c>
      <c r="E52" s="13">
        <f>C52-D52</f>
        <v>57174.351999999955</v>
      </c>
      <c r="G52" s="13"/>
      <c r="H52" s="25"/>
    </row>
    <row r="53" spans="1:8" outlineLevel="1" x14ac:dyDescent="0.35">
      <c r="A53" s="14" t="s">
        <v>29</v>
      </c>
      <c r="B53" s="15" t="s">
        <v>88</v>
      </c>
      <c r="C53" s="10" t="s">
        <v>7</v>
      </c>
      <c r="D53" s="10">
        <f>G53+H53</f>
        <v>747399</v>
      </c>
      <c r="E53" s="10"/>
      <c r="G53" s="10">
        <f>324570+324570</f>
        <v>649140</v>
      </c>
      <c r="H53" s="26">
        <f>98259</f>
        <v>98259</v>
      </c>
    </row>
    <row r="54" spans="1:8" outlineLevel="1" x14ac:dyDescent="0.35">
      <c r="A54" s="14" t="s">
        <v>29</v>
      </c>
      <c r="B54" s="15" t="s">
        <v>89</v>
      </c>
      <c r="C54" s="10"/>
      <c r="D54" s="10">
        <f>G54+H54</f>
        <v>845658</v>
      </c>
      <c r="E54" s="10"/>
      <c r="G54" s="10">
        <f>324570+324570</f>
        <v>649140</v>
      </c>
      <c r="H54" s="24">
        <f>98259+98259</f>
        <v>196518</v>
      </c>
    </row>
    <row r="55" spans="1:8" x14ac:dyDescent="0.35">
      <c r="A55" s="11" t="s">
        <v>22</v>
      </c>
      <c r="B55" s="12"/>
      <c r="C55" s="13">
        <f>81548.04*3</f>
        <v>244644.12</v>
      </c>
      <c r="D55" s="13">
        <f>SUM(D56:D57)</f>
        <v>173198.15</v>
      </c>
      <c r="E55" s="13">
        <f>C55-D55</f>
        <v>71445.97</v>
      </c>
      <c r="G55" s="13"/>
      <c r="H55" s="25"/>
    </row>
    <row r="56" spans="1:8" outlineLevel="1" x14ac:dyDescent="0.35">
      <c r="A56" s="14" t="s">
        <v>29</v>
      </c>
      <c r="B56" s="15" t="s">
        <v>92</v>
      </c>
      <c r="C56" s="10" t="s">
        <v>7</v>
      </c>
      <c r="D56" s="10">
        <f>G56+H56</f>
        <v>58999.95</v>
      </c>
      <c r="E56" s="10"/>
      <c r="G56" s="48">
        <f>58999.95</f>
        <v>58999.95</v>
      </c>
      <c r="H56" s="26">
        <v>0</v>
      </c>
    </row>
    <row r="57" spans="1:8" outlineLevel="1" x14ac:dyDescent="0.35">
      <c r="A57" s="14" t="s">
        <v>29</v>
      </c>
      <c r="B57" s="45" t="s">
        <v>89</v>
      </c>
      <c r="C57" s="10"/>
      <c r="D57" s="10">
        <f>G57+H57</f>
        <v>114198.2</v>
      </c>
      <c r="E57" s="10"/>
      <c r="G57" s="48">
        <f>36382.2+69502</f>
        <v>105884.2</v>
      </c>
      <c r="H57" s="26">
        <v>8314</v>
      </c>
    </row>
    <row r="58" spans="1:8" x14ac:dyDescent="0.35">
      <c r="A58" s="11" t="s">
        <v>23</v>
      </c>
      <c r="B58" s="12"/>
      <c r="C58" s="13">
        <f>402511.478*3</f>
        <v>1207534.4339999999</v>
      </c>
      <c r="D58" s="13">
        <f>SUM(D59:D60)</f>
        <v>1411570</v>
      </c>
      <c r="E58" s="13">
        <f>C58-D58</f>
        <v>-204035.56600000011</v>
      </c>
      <c r="G58" s="13"/>
      <c r="H58" s="25"/>
    </row>
    <row r="59" spans="1:8" outlineLevel="1" x14ac:dyDescent="0.35">
      <c r="A59" s="14" t="s">
        <v>29</v>
      </c>
      <c r="B59" s="15" t="s">
        <v>92</v>
      </c>
      <c r="C59" s="10" t="s">
        <v>7</v>
      </c>
      <c r="D59" s="10">
        <f>G59+H59</f>
        <v>461190</v>
      </c>
      <c r="E59" s="10"/>
      <c r="G59" s="9">
        <f>367409</f>
        <v>367409</v>
      </c>
      <c r="H59" s="47">
        <f>93781</f>
        <v>93781</v>
      </c>
    </row>
    <row r="60" spans="1:8" outlineLevel="1" x14ac:dyDescent="0.35">
      <c r="A60" s="14" t="s">
        <v>29</v>
      </c>
      <c r="B60" s="45" t="s">
        <v>89</v>
      </c>
      <c r="C60" s="10"/>
      <c r="D60" s="10">
        <f>G60+H60</f>
        <v>950380</v>
      </c>
      <c r="E60" s="10"/>
      <c r="G60" s="9">
        <f>381409+381409</f>
        <v>762818</v>
      </c>
      <c r="H60" s="47">
        <f>93781+93781</f>
        <v>187562</v>
      </c>
    </row>
    <row r="61" spans="1:8" x14ac:dyDescent="0.35">
      <c r="A61" s="11" t="s">
        <v>15</v>
      </c>
      <c r="B61" s="12"/>
      <c r="C61" s="13">
        <f>405766.32*4</f>
        <v>1623065.28</v>
      </c>
      <c r="D61" s="13">
        <f>SUM(D62:D63)</f>
        <v>1484113</v>
      </c>
      <c r="E61" s="13">
        <f>C61-D61</f>
        <v>138952.28000000003</v>
      </c>
      <c r="G61" s="13"/>
      <c r="H61" s="25"/>
    </row>
    <row r="62" spans="1:8" outlineLevel="1" x14ac:dyDescent="0.35">
      <c r="A62" s="14" t="s">
        <v>29</v>
      </c>
      <c r="B62" s="15" t="s">
        <v>88</v>
      </c>
      <c r="C62" s="10" t="s">
        <v>7</v>
      </c>
      <c r="D62" s="10">
        <f>G62+H62</f>
        <v>700801</v>
      </c>
      <c r="E62" s="10"/>
      <c r="G62" s="10">
        <f>309145+331977</f>
        <v>641122</v>
      </c>
      <c r="H62" s="26">
        <f>59679</f>
        <v>59679</v>
      </c>
    </row>
    <row r="63" spans="1:8" outlineLevel="1" x14ac:dyDescent="0.35">
      <c r="A63" s="14" t="s">
        <v>29</v>
      </c>
      <c r="B63" s="45" t="s">
        <v>89</v>
      </c>
      <c r="C63" s="10"/>
      <c r="D63" s="10">
        <f>G63+H63</f>
        <v>783312</v>
      </c>
      <c r="E63" s="10"/>
      <c r="G63" s="10">
        <f>331977+331977</f>
        <v>663954</v>
      </c>
      <c r="H63" s="26">
        <f>59679+59679</f>
        <v>119358</v>
      </c>
    </row>
    <row r="64" spans="1:8" x14ac:dyDescent="0.35">
      <c r="A64" s="11" t="s">
        <v>24</v>
      </c>
      <c r="B64" s="12"/>
      <c r="C64" s="13">
        <f>150444.241*3</f>
        <v>451332.723</v>
      </c>
      <c r="D64" s="13">
        <f>SUM(D65:D66)</f>
        <v>288393</v>
      </c>
      <c r="E64" s="13">
        <f>C64-D64</f>
        <v>162939.723</v>
      </c>
      <c r="G64" s="13"/>
      <c r="H64" s="25"/>
    </row>
    <row r="65" spans="1:8" outlineLevel="1" x14ac:dyDescent="0.35">
      <c r="A65" s="14" t="s">
        <v>29</v>
      </c>
      <c r="B65" s="15" t="s">
        <v>92</v>
      </c>
      <c r="C65" s="10" t="s">
        <v>7</v>
      </c>
      <c r="D65" s="10">
        <f>G65+H65</f>
        <v>96131</v>
      </c>
      <c r="E65" s="10"/>
      <c r="G65" s="10">
        <v>96131</v>
      </c>
      <c r="H65" s="24"/>
    </row>
    <row r="66" spans="1:8" outlineLevel="1" x14ac:dyDescent="0.35">
      <c r="A66" s="14" t="s">
        <v>29</v>
      </c>
      <c r="B66" s="45" t="s">
        <v>89</v>
      </c>
      <c r="C66" s="10"/>
      <c r="D66" s="10">
        <f>G66+H66</f>
        <v>192262</v>
      </c>
      <c r="E66" s="10"/>
      <c r="G66" s="10">
        <f>96131+96131</f>
        <v>192262</v>
      </c>
      <c r="H66" s="24"/>
    </row>
    <row r="67" spans="1:8" x14ac:dyDescent="0.35">
      <c r="A67" s="11" t="s">
        <v>25</v>
      </c>
      <c r="B67" s="12"/>
      <c r="C67" s="13">
        <f>10627.593*3</f>
        <v>31882.779000000002</v>
      </c>
      <c r="D67" s="13">
        <f>SUM(D68:D69)</f>
        <v>28473</v>
      </c>
      <c r="E67" s="13">
        <f>C67-D67</f>
        <v>3409.7790000000023</v>
      </c>
      <c r="G67" s="13"/>
      <c r="H67" s="25"/>
    </row>
    <row r="68" spans="1:8" outlineLevel="1" x14ac:dyDescent="0.35">
      <c r="A68" s="14" t="s">
        <v>29</v>
      </c>
      <c r="B68" s="15" t="s">
        <v>92</v>
      </c>
      <c r="C68" s="10" t="s">
        <v>7</v>
      </c>
      <c r="D68" s="10">
        <f>G68+H68</f>
        <v>9491</v>
      </c>
      <c r="E68" s="10"/>
      <c r="G68" s="10">
        <f>8468</f>
        <v>8468</v>
      </c>
      <c r="H68" s="24">
        <f>1023</f>
        <v>1023</v>
      </c>
    </row>
    <row r="69" spans="1:8" outlineLevel="1" x14ac:dyDescent="0.35">
      <c r="A69" s="14" t="s">
        <v>29</v>
      </c>
      <c r="B69" s="45" t="s">
        <v>89</v>
      </c>
      <c r="C69" s="10"/>
      <c r="D69" s="10">
        <f>G69+H69</f>
        <v>18982</v>
      </c>
      <c r="E69" s="10"/>
      <c r="G69" s="10">
        <f>8468+8468</f>
        <v>16936</v>
      </c>
      <c r="H69" s="24">
        <f>1023+1023</f>
        <v>2046</v>
      </c>
    </row>
    <row r="70" spans="1:8" x14ac:dyDescent="0.35">
      <c r="A70" s="11" t="s">
        <v>26</v>
      </c>
      <c r="B70" s="12"/>
      <c r="C70" s="13">
        <f>12523.87*3</f>
        <v>37571.61</v>
      </c>
      <c r="D70" s="13">
        <f>SUM(D71:D72)</f>
        <v>37557</v>
      </c>
      <c r="E70" s="13">
        <f>C70-D70</f>
        <v>14.610000000000582</v>
      </c>
      <c r="G70" s="13"/>
      <c r="H70" s="25"/>
    </row>
    <row r="71" spans="1:8" outlineLevel="1" x14ac:dyDescent="0.35">
      <c r="A71" s="14" t="s">
        <v>29</v>
      </c>
      <c r="B71" s="15" t="s">
        <v>92</v>
      </c>
      <c r="C71" s="10" t="s">
        <v>7</v>
      </c>
      <c r="D71" s="10">
        <f>G71+H71</f>
        <v>12519</v>
      </c>
      <c r="E71" s="10"/>
      <c r="G71" s="10">
        <f>9962</f>
        <v>9962</v>
      </c>
      <c r="H71" s="24">
        <f>2557</f>
        <v>2557</v>
      </c>
    </row>
    <row r="72" spans="1:8" outlineLevel="1" x14ac:dyDescent="0.35">
      <c r="A72" s="14" t="s">
        <v>29</v>
      </c>
      <c r="B72" s="45" t="s">
        <v>89</v>
      </c>
      <c r="C72" s="10"/>
      <c r="D72" s="10">
        <f>G72+H72</f>
        <v>25038</v>
      </c>
      <c r="E72" s="10"/>
      <c r="G72" s="10">
        <f>9962+9962</f>
        <v>19924</v>
      </c>
      <c r="H72" s="24">
        <f>2557+2557</f>
        <v>5114</v>
      </c>
    </row>
    <row r="73" spans="1:8" x14ac:dyDescent="0.35">
      <c r="A73" s="11" t="s">
        <v>27</v>
      </c>
      <c r="B73" s="12"/>
      <c r="C73" s="13">
        <f>16274.215*3</f>
        <v>48822.645000000004</v>
      </c>
      <c r="D73" s="13">
        <f>SUM(D74:D75)</f>
        <v>55059</v>
      </c>
      <c r="E73" s="13">
        <f>C73-D73</f>
        <v>-6236.3549999999959</v>
      </c>
      <c r="G73" s="13"/>
      <c r="H73" s="25"/>
    </row>
    <row r="74" spans="1:8" outlineLevel="1" x14ac:dyDescent="0.35">
      <c r="A74" s="14" t="s">
        <v>29</v>
      </c>
      <c r="B74" s="15" t="s">
        <v>92</v>
      </c>
      <c r="C74" s="10" t="s">
        <v>7</v>
      </c>
      <c r="D74" s="10">
        <f>G74+H74</f>
        <v>18353</v>
      </c>
      <c r="E74" s="10"/>
      <c r="G74" s="10">
        <f>14943</f>
        <v>14943</v>
      </c>
      <c r="H74" s="24">
        <f>3410</f>
        <v>3410</v>
      </c>
    </row>
    <row r="75" spans="1:8" outlineLevel="1" x14ac:dyDescent="0.35">
      <c r="A75" s="14" t="s">
        <v>29</v>
      </c>
      <c r="B75" s="46" t="s">
        <v>89</v>
      </c>
      <c r="C75" s="10"/>
      <c r="D75" s="10">
        <f>G75+H75</f>
        <v>36706</v>
      </c>
      <c r="E75" s="10"/>
      <c r="G75" s="10">
        <f>14943+14943</f>
        <v>29886</v>
      </c>
      <c r="H75" s="24">
        <f>3410+3410</f>
        <v>6820</v>
      </c>
    </row>
    <row r="76" spans="1:8" x14ac:dyDescent="0.35">
      <c r="A76" s="55" t="s">
        <v>28</v>
      </c>
      <c r="B76" s="56"/>
      <c r="C76" s="13">
        <f>16553.951*3</f>
        <v>49661.853000000003</v>
      </c>
      <c r="D76" s="13">
        <f>SUM(D77:D78)</f>
        <v>59223</v>
      </c>
      <c r="E76" s="13">
        <f>C76-D76</f>
        <v>-9561.1469999999972</v>
      </c>
      <c r="G76" s="13"/>
      <c r="H76" s="25"/>
    </row>
    <row r="77" spans="1:8" outlineLevel="1" x14ac:dyDescent="0.35">
      <c r="A77" s="14" t="s">
        <v>29</v>
      </c>
      <c r="B77" s="15" t="s">
        <v>92</v>
      </c>
      <c r="C77" s="10" t="s">
        <v>7</v>
      </c>
      <c r="D77" s="10">
        <f>G77+H77</f>
        <v>19741</v>
      </c>
      <c r="E77" s="10"/>
      <c r="G77" s="10">
        <f>17184</f>
        <v>17184</v>
      </c>
      <c r="H77" s="24">
        <f>2557</f>
        <v>2557</v>
      </c>
    </row>
    <row r="78" spans="1:8" outlineLevel="1" x14ac:dyDescent="0.35">
      <c r="A78" s="14" t="s">
        <v>29</v>
      </c>
      <c r="B78" s="46" t="s">
        <v>89</v>
      </c>
      <c r="C78" s="10"/>
      <c r="D78" s="10">
        <f>G78+H78</f>
        <v>39482</v>
      </c>
      <c r="E78" s="10"/>
      <c r="G78" s="10">
        <f>17184+17184</f>
        <v>34368</v>
      </c>
      <c r="H78" s="24">
        <f>2557+2557</f>
        <v>5114</v>
      </c>
    </row>
    <row r="79" spans="1:8" x14ac:dyDescent="0.35">
      <c r="A79" s="49" t="s">
        <v>30</v>
      </c>
      <c r="B79" s="50"/>
      <c r="C79" s="13">
        <f>23151.46*3</f>
        <v>69454.38</v>
      </c>
      <c r="D79" s="13">
        <f>SUM(D80:D80)</f>
        <v>0</v>
      </c>
      <c r="E79" s="13">
        <f>C79-D79</f>
        <v>69454.38</v>
      </c>
      <c r="G79" s="13"/>
      <c r="H79" s="25"/>
    </row>
    <row r="80" spans="1:8" outlineLevel="1" x14ac:dyDescent="0.35">
      <c r="A80" s="14" t="s">
        <v>29</v>
      </c>
      <c r="B80" s="15" t="s">
        <v>92</v>
      </c>
      <c r="C80" s="10" t="s">
        <v>7</v>
      </c>
      <c r="D80" s="10">
        <f>G80+H80</f>
        <v>0</v>
      </c>
      <c r="E80" s="10"/>
      <c r="G80" s="10"/>
      <c r="H80" s="24"/>
    </row>
    <row r="81" spans="1:8" outlineLevel="1" x14ac:dyDescent="0.35">
      <c r="A81" s="14" t="s">
        <v>29</v>
      </c>
      <c r="B81" s="46" t="s">
        <v>89</v>
      </c>
      <c r="C81" s="10"/>
      <c r="D81" s="10">
        <f>G81+H81</f>
        <v>0</v>
      </c>
      <c r="E81" s="10"/>
      <c r="G81" s="10"/>
      <c r="H81" s="24"/>
    </row>
    <row r="82" spans="1:8" x14ac:dyDescent="0.35">
      <c r="A82" s="49" t="s">
        <v>31</v>
      </c>
      <c r="B82" s="50"/>
      <c r="C82" s="13">
        <f>325282.166*3</f>
        <v>975846.49800000014</v>
      </c>
      <c r="D82" s="13">
        <f>SUM(D83:D84)</f>
        <v>977487</v>
      </c>
      <c r="E82" s="13">
        <f>C82-D82</f>
        <v>-1640.5019999998622</v>
      </c>
      <c r="G82" s="13"/>
      <c r="H82" s="25"/>
    </row>
    <row r="83" spans="1:8" outlineLevel="1" x14ac:dyDescent="0.35">
      <c r="A83" s="14" t="s">
        <v>29</v>
      </c>
      <c r="B83" s="15" t="s">
        <v>92</v>
      </c>
      <c r="C83" s="10" t="s">
        <v>7</v>
      </c>
      <c r="D83" s="10">
        <f>G83+H83</f>
        <v>325829</v>
      </c>
      <c r="E83" s="10"/>
      <c r="G83" s="10">
        <f>228125</f>
        <v>228125</v>
      </c>
      <c r="H83" s="24">
        <f>97704</f>
        <v>97704</v>
      </c>
    </row>
    <row r="84" spans="1:8" outlineLevel="1" x14ac:dyDescent="0.35">
      <c r="A84" s="14" t="s">
        <v>29</v>
      </c>
      <c r="B84" s="46" t="s">
        <v>89</v>
      </c>
      <c r="C84" s="10"/>
      <c r="D84" s="10">
        <f>G84+H84</f>
        <v>651658</v>
      </c>
      <c r="E84" s="10"/>
      <c r="G84" s="10">
        <f>228125+228125</f>
        <v>456250</v>
      </c>
      <c r="H84" s="24">
        <f>97704+97704</f>
        <v>195408</v>
      </c>
    </row>
    <row r="85" spans="1:8" x14ac:dyDescent="0.35">
      <c r="A85" s="49" t="s">
        <v>32</v>
      </c>
      <c r="B85" s="50"/>
      <c r="C85" s="13">
        <f>19712.839*3</f>
        <v>59138.517</v>
      </c>
      <c r="D85" s="13">
        <f>SUM(D86:D87)</f>
        <v>38847</v>
      </c>
      <c r="E85" s="13">
        <f>C85-D85</f>
        <v>20291.517</v>
      </c>
      <c r="G85" s="13"/>
      <c r="H85" s="25"/>
    </row>
    <row r="86" spans="1:8" outlineLevel="1" x14ac:dyDescent="0.35">
      <c r="A86" s="14" t="s">
        <v>29</v>
      </c>
      <c r="B86" s="15" t="s">
        <v>92</v>
      </c>
      <c r="C86" s="10" t="s">
        <v>7</v>
      </c>
      <c r="D86" s="10">
        <f>G86+H86</f>
        <v>12949</v>
      </c>
      <c r="E86" s="10"/>
      <c r="G86" s="10">
        <f>7493</f>
        <v>7493</v>
      </c>
      <c r="H86" s="24">
        <f>5456</f>
        <v>5456</v>
      </c>
    </row>
    <row r="87" spans="1:8" outlineLevel="1" x14ac:dyDescent="0.35">
      <c r="A87" s="14" t="s">
        <v>29</v>
      </c>
      <c r="B87" s="46" t="s">
        <v>93</v>
      </c>
      <c r="C87" s="10"/>
      <c r="D87" s="10">
        <f>G87+H87</f>
        <v>25898</v>
      </c>
      <c r="E87" s="10"/>
      <c r="G87" s="10">
        <f>7493+7493</f>
        <v>14986</v>
      </c>
      <c r="H87" s="24">
        <f>5456+5456</f>
        <v>10912</v>
      </c>
    </row>
    <row r="88" spans="1:8" x14ac:dyDescent="0.35">
      <c r="A88" s="49" t="s">
        <v>33</v>
      </c>
      <c r="B88" s="50"/>
      <c r="C88" s="13">
        <v>725065.97900000005</v>
      </c>
      <c r="D88" s="13">
        <f>SUM(D89:D89)</f>
        <v>720000</v>
      </c>
      <c r="E88" s="13">
        <f>C88-D88</f>
        <v>5065.9790000000503</v>
      </c>
      <c r="G88" s="13"/>
      <c r="H88" s="25"/>
    </row>
    <row r="89" spans="1:8" outlineLevel="1" x14ac:dyDescent="0.35">
      <c r="A89" s="14" t="s">
        <v>20</v>
      </c>
      <c r="B89" s="15" t="s">
        <v>14</v>
      </c>
      <c r="C89" s="10" t="s">
        <v>7</v>
      </c>
      <c r="D89" s="29">
        <v>720000</v>
      </c>
      <c r="E89" s="10"/>
      <c r="G89" s="27"/>
      <c r="H89" s="27"/>
    </row>
    <row r="90" spans="1:8" x14ac:dyDescent="0.35">
      <c r="A90" s="49" t="s">
        <v>34</v>
      </c>
      <c r="B90" s="50"/>
      <c r="C90" s="13">
        <f>56761.934*3</f>
        <v>170285.802</v>
      </c>
      <c r="D90" s="13">
        <f>SUM(D91:D92)</f>
        <v>176325</v>
      </c>
      <c r="E90" s="13">
        <f>C90-D90</f>
        <v>-6039.198000000004</v>
      </c>
      <c r="G90" s="13"/>
      <c r="H90" s="13"/>
    </row>
    <row r="91" spans="1:8" outlineLevel="1" x14ac:dyDescent="0.35">
      <c r="A91" s="14" t="s">
        <v>29</v>
      </c>
      <c r="B91" s="15" t="s">
        <v>92</v>
      </c>
      <c r="C91" s="10" t="s">
        <v>7</v>
      </c>
      <c r="D91" s="10">
        <f>G91+H91</f>
        <v>58775</v>
      </c>
      <c r="E91" s="10"/>
      <c r="G91" s="27">
        <f>58775</f>
        <v>58775</v>
      </c>
      <c r="H91" s="27"/>
    </row>
    <row r="92" spans="1:8" outlineLevel="1" x14ac:dyDescent="0.35">
      <c r="A92" s="14" t="s">
        <v>29</v>
      </c>
      <c r="B92" s="45" t="s">
        <v>89</v>
      </c>
      <c r="C92" s="10"/>
      <c r="D92" s="10">
        <f>G92+H92</f>
        <v>117550</v>
      </c>
      <c r="E92" s="10"/>
      <c r="G92" s="27">
        <f>58775+58775</f>
        <v>117550</v>
      </c>
      <c r="H92" s="27"/>
    </row>
    <row r="93" spans="1:8" x14ac:dyDescent="0.35">
      <c r="A93" s="11" t="s">
        <v>35</v>
      </c>
      <c r="B93" s="12"/>
      <c r="C93" s="13">
        <f>289335.168*3</f>
        <v>868005.50399999996</v>
      </c>
      <c r="D93" s="13">
        <f>SUM(D94:D95)</f>
        <v>900297</v>
      </c>
      <c r="E93" s="13">
        <f>C93-D93</f>
        <v>-32291.496000000043</v>
      </c>
      <c r="G93" s="13"/>
      <c r="H93" s="13"/>
    </row>
    <row r="94" spans="1:8" outlineLevel="1" x14ac:dyDescent="0.35">
      <c r="A94" s="14" t="s">
        <v>29</v>
      </c>
      <c r="B94" s="15" t="s">
        <v>92</v>
      </c>
      <c r="C94" s="10" t="s">
        <v>7</v>
      </c>
      <c r="D94" s="10">
        <f>G94+H94</f>
        <v>300099</v>
      </c>
      <c r="E94" s="10"/>
      <c r="G94" s="27">
        <f>300099</f>
        <v>300099</v>
      </c>
      <c r="H94" s="27"/>
    </row>
    <row r="95" spans="1:8" outlineLevel="1" x14ac:dyDescent="0.35">
      <c r="A95" s="14" t="s">
        <v>29</v>
      </c>
      <c r="B95" s="45" t="s">
        <v>89</v>
      </c>
      <c r="C95" s="10"/>
      <c r="D95" s="10">
        <f>G95+H95</f>
        <v>600198</v>
      </c>
      <c r="E95" s="10"/>
      <c r="G95" s="27">
        <f>300099+300099</f>
        <v>600198</v>
      </c>
      <c r="H95" s="27"/>
    </row>
    <row r="96" spans="1:8" x14ac:dyDescent="0.35">
      <c r="A96" s="11" t="s">
        <v>36</v>
      </c>
      <c r="B96" s="12"/>
      <c r="C96" s="13">
        <f>21097.356*3</f>
        <v>63292.067999999999</v>
      </c>
      <c r="D96" s="13">
        <f>SUM(D97:D98)</f>
        <v>0</v>
      </c>
      <c r="E96" s="13">
        <f>C96-D96</f>
        <v>63292.067999999999</v>
      </c>
      <c r="G96" s="13"/>
      <c r="H96" s="13"/>
    </row>
    <row r="97" spans="1:12" outlineLevel="1" x14ac:dyDescent="0.35">
      <c r="A97" s="14" t="s">
        <v>29</v>
      </c>
      <c r="B97" s="15" t="s">
        <v>92</v>
      </c>
      <c r="C97" s="10" t="s">
        <v>7</v>
      </c>
      <c r="D97" s="10">
        <f>G97+H97</f>
        <v>0</v>
      </c>
      <c r="E97" s="10"/>
      <c r="G97" s="27"/>
      <c r="H97" s="27"/>
    </row>
    <row r="98" spans="1:12" outlineLevel="1" x14ac:dyDescent="0.35">
      <c r="A98" s="14" t="s">
        <v>29</v>
      </c>
      <c r="B98" s="45" t="s">
        <v>89</v>
      </c>
      <c r="C98" s="10"/>
      <c r="D98" s="10">
        <f>G98+H98</f>
        <v>0</v>
      </c>
      <c r="E98" s="10"/>
      <c r="G98" s="27"/>
      <c r="H98" s="27"/>
    </row>
    <row r="99" spans="1:12" x14ac:dyDescent="0.35">
      <c r="A99" s="11" t="s">
        <v>37</v>
      </c>
      <c r="B99" s="12"/>
      <c r="C99" s="13">
        <f>4247.16*3</f>
        <v>12741.48</v>
      </c>
      <c r="D99" s="13">
        <f>SUM(D100:D101)</f>
        <v>12786</v>
      </c>
      <c r="E99" s="13">
        <f>C99-D99</f>
        <v>-44.520000000000437</v>
      </c>
      <c r="G99" s="13"/>
      <c r="H99" s="13"/>
    </row>
    <row r="100" spans="1:12" outlineLevel="1" x14ac:dyDescent="0.35">
      <c r="A100" s="14" t="s">
        <v>29</v>
      </c>
      <c r="B100" s="15" t="s">
        <v>92</v>
      </c>
      <c r="C100" s="10" t="s">
        <v>7</v>
      </c>
      <c r="D100" s="10">
        <f>G100+H100</f>
        <v>4262</v>
      </c>
      <c r="E100" s="10"/>
      <c r="G100" s="27">
        <v>0</v>
      </c>
      <c r="H100" s="27">
        <f>4262</f>
        <v>4262</v>
      </c>
    </row>
    <row r="101" spans="1:12" outlineLevel="1" x14ac:dyDescent="0.35">
      <c r="A101" s="14" t="s">
        <v>29</v>
      </c>
      <c r="B101" s="45" t="s">
        <v>89</v>
      </c>
      <c r="C101" s="10"/>
      <c r="D101" s="10">
        <f>G101+H101</f>
        <v>8524</v>
      </c>
      <c r="E101" s="10"/>
      <c r="G101" s="27"/>
      <c r="H101" s="27">
        <f>4262+4262</f>
        <v>8524</v>
      </c>
    </row>
    <row r="102" spans="1:12" x14ac:dyDescent="0.35">
      <c r="A102" s="16" t="s">
        <v>17</v>
      </c>
      <c r="B102" s="17"/>
      <c r="C102" s="18">
        <f>C32+C52+C55+C58+C61+C64+C67+C70+C73+C76+C79+C82+C85+C88+C90+C93+C96+C99</f>
        <v>9059118.0070000011</v>
      </c>
      <c r="D102" s="18">
        <f>D32+D52+D55+D58+D61+D64+D67+D70+D73+D76+D79+D82+D85+D88+D90+D93+D96+D99-D39</f>
        <v>8966890.4299999997</v>
      </c>
      <c r="E102" s="18">
        <f>E32+E52+E55+E58+E61+E64+E67+E70+E73+E76+E79+E82+E85+E88+E90+E93+E96+E99</f>
        <v>92227.577000000092</v>
      </c>
      <c r="G102" s="13"/>
      <c r="H102" s="13"/>
      <c r="L102" s="23"/>
    </row>
    <row r="103" spans="1:12" x14ac:dyDescent="0.35">
      <c r="A103" s="5" t="s">
        <v>16</v>
      </c>
      <c r="B103" s="6"/>
      <c r="C103" s="7" t="s">
        <v>7</v>
      </c>
      <c r="D103" s="7">
        <f>SUM(D104:D105)</f>
        <v>0</v>
      </c>
      <c r="E103" s="7"/>
      <c r="G103" s="10"/>
      <c r="H103" s="10"/>
    </row>
    <row r="104" spans="1:12" outlineLevel="1" x14ac:dyDescent="0.35">
      <c r="A104" s="14"/>
      <c r="B104" s="15" t="s">
        <v>43</v>
      </c>
      <c r="C104" s="10"/>
      <c r="D104" s="10">
        <v>0</v>
      </c>
      <c r="E104" s="10"/>
      <c r="G104" s="18">
        <f>SUM(G26:G103)</f>
        <v>6542643.1500000004</v>
      </c>
      <c r="H104" s="18">
        <f>SUM(H26:H103)</f>
        <v>1293415</v>
      </c>
      <c r="L104" s="23"/>
    </row>
    <row r="105" spans="1:12" outlineLevel="1" x14ac:dyDescent="0.35">
      <c r="A105" s="33" t="s">
        <v>53</v>
      </c>
      <c r="B105" s="34" t="s">
        <v>54</v>
      </c>
      <c r="C105" s="10"/>
      <c r="D105" s="29">
        <v>0</v>
      </c>
      <c r="E105" s="10"/>
      <c r="G105" s="18"/>
      <c r="H105" s="18"/>
    </row>
    <row r="106" spans="1:12" x14ac:dyDescent="0.35">
      <c r="A106" s="19" t="s">
        <v>18</v>
      </c>
      <c r="B106" s="20"/>
      <c r="C106" s="21" t="s">
        <v>7</v>
      </c>
      <c r="D106" s="21">
        <f>D102+D26+D103</f>
        <v>10460242.52</v>
      </c>
      <c r="E106" s="21"/>
      <c r="G106" s="7"/>
      <c r="H106" s="7"/>
    </row>
    <row r="107" spans="1:12" x14ac:dyDescent="0.35">
      <c r="A107" s="19" t="s">
        <v>87</v>
      </c>
      <c r="B107" s="20"/>
      <c r="C107" s="21"/>
      <c r="D107" s="21">
        <f>D33+D34+D52+D55+D58+D61+D64+D67+D70+D73+D76+D79+D82+D85+D90+D93+D96+D99</f>
        <v>7836058.1500000004</v>
      </c>
      <c r="E107" s="21"/>
      <c r="G107" s="10"/>
      <c r="H107" s="10"/>
    </row>
    <row r="108" spans="1:12" hidden="1" x14ac:dyDescent="0.35">
      <c r="D108" s="22">
        <f>428367+1971753</f>
        <v>2400120</v>
      </c>
      <c r="G108" s="21">
        <f>G104+D115</f>
        <v>6542643.1500000004</v>
      </c>
      <c r="H108" s="21">
        <f>H104+D116</f>
        <v>1293415</v>
      </c>
    </row>
    <row r="109" spans="1:12" hidden="1" x14ac:dyDescent="0.35">
      <c r="D109" s="22">
        <f>2004812+466521-48066-29840</f>
        <v>2393427</v>
      </c>
      <c r="G109" s="21"/>
      <c r="H109" s="21"/>
    </row>
    <row r="110" spans="1:12" hidden="1" x14ac:dyDescent="0.35">
      <c r="D110" s="23">
        <f>D107-D108</f>
        <v>5435938.1500000004</v>
      </c>
    </row>
    <row r="111" spans="1:12" x14ac:dyDescent="0.35">
      <c r="C111" s="3"/>
      <c r="D111" s="23"/>
    </row>
    <row r="112" spans="1:12" x14ac:dyDescent="0.35">
      <c r="C112" s="3"/>
      <c r="D112" s="23"/>
    </row>
  </sheetData>
  <mergeCells count="10">
    <mergeCell ref="A85:B85"/>
    <mergeCell ref="A88:B88"/>
    <mergeCell ref="A90:B90"/>
    <mergeCell ref="A1:D1"/>
    <mergeCell ref="A2:D2"/>
    <mergeCell ref="A31:E31"/>
    <mergeCell ref="A79:B79"/>
    <mergeCell ref="A76:B76"/>
    <mergeCell ref="A82:B8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Васильев</dc:creator>
  <cp:lastModifiedBy>royal</cp:lastModifiedBy>
  <dcterms:created xsi:type="dcterms:W3CDTF">2023-02-25T19:55:19Z</dcterms:created>
  <dcterms:modified xsi:type="dcterms:W3CDTF">2024-09-29T18:01:58Z</dcterms:modified>
</cp:coreProperties>
</file>